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ob\Co. KMA\Site\Papers\1401-Tarefeh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Q8" i="1"/>
  <c r="Q11" i="1" s="1"/>
  <c r="H26" i="1" l="1"/>
  <c r="H28" i="1"/>
  <c r="H27" i="1"/>
  <c r="H25" i="1"/>
  <c r="H24" i="1"/>
  <c r="H21" i="1"/>
  <c r="H20" i="1"/>
  <c r="M21" i="1" s="1"/>
  <c r="I24" i="1" l="1"/>
  <c r="I27" i="1"/>
  <c r="K21" i="1"/>
  <c r="H15" i="1"/>
  <c r="H13" i="1"/>
  <c r="H14" i="1"/>
  <c r="H12" i="1"/>
  <c r="H9" i="1"/>
  <c r="H8" i="1"/>
  <c r="M9" i="1" l="1"/>
  <c r="K28" i="1"/>
  <c r="M28" i="1"/>
  <c r="I12" i="1"/>
  <c r="I14" i="1"/>
  <c r="K9" i="1"/>
  <c r="K15" i="1" l="1"/>
  <c r="M15" i="1" s="1"/>
</calcChain>
</file>

<file path=xl/comments1.xml><?xml version="1.0" encoding="utf-8"?>
<comments xmlns="http://schemas.openxmlformats.org/spreadsheetml/2006/main">
  <authors>
    <author>Sun899</author>
    <author>Lenovo</author>
  </authors>
  <commentList>
    <comment ref="D12" authorId="0" shapeId="0">
      <text>
        <r>
          <rPr>
            <b/>
            <sz val="9"/>
            <color indexed="81"/>
            <rFont val="Tahoma"/>
          </rPr>
          <t>Sun899:</t>
        </r>
        <r>
          <rPr>
            <sz val="9"/>
            <color indexed="81"/>
            <rFont val="Tahoma"/>
          </rPr>
          <t xml:space="preserve">
ریزدانه=300000  ماسه=350000   شن=400000</t>
        </r>
      </text>
    </comment>
    <comment ref="K15" authorId="1" shapeId="0">
      <text>
        <r>
          <rPr>
            <sz val="9"/>
            <color indexed="81"/>
            <rFont val="Tahoma"/>
            <charset val="178"/>
          </rPr>
          <t>چنانچه پروژه در شهرهای هشتگرد، نظرآباد، گرمدره، اشتهارد و طالقان انجام شود، 000 000 2 تومان به حق الزحمه انجام عملیات صحرایی اضافه می شود</t>
        </r>
      </text>
    </comment>
    <comment ref="D24" authorId="0" shapeId="0">
      <text>
        <r>
          <rPr>
            <b/>
            <sz val="9"/>
            <color indexed="81"/>
            <rFont val="Tahoma"/>
          </rPr>
          <t>Sun899:</t>
        </r>
        <r>
          <rPr>
            <sz val="9"/>
            <color indexed="81"/>
            <rFont val="Tahoma"/>
          </rPr>
          <t xml:space="preserve">
ریزدانه=300000  ماسه=350000   شن=400000</t>
        </r>
      </text>
    </comment>
    <comment ref="K28" authorId="1" shapeId="0">
      <text>
        <r>
          <rPr>
            <sz val="9"/>
            <color indexed="81"/>
            <rFont val="Tahoma"/>
            <charset val="178"/>
          </rPr>
          <t>پروژه در شهرهای هشتگرد، نظرآباد، گرمدره، اشتهارد و طالقان انجام شود، مبلغ 000 000 2 تومان به حق الزحمه انجام عملیات صحرایی اضافه می شود</t>
        </r>
      </text>
    </comment>
  </commentList>
</comments>
</file>

<file path=xl/sharedStrings.xml><?xml version="1.0" encoding="utf-8"?>
<sst xmlns="http://schemas.openxmlformats.org/spreadsheetml/2006/main" count="55" uniqueCount="30">
  <si>
    <t>متراژ</t>
  </si>
  <si>
    <t>قیمت قرارداد</t>
  </si>
  <si>
    <t>فیش نظام</t>
  </si>
  <si>
    <t>فیش انجمن</t>
  </si>
  <si>
    <t>بتن</t>
  </si>
  <si>
    <t>تعدادزیرزمین</t>
  </si>
  <si>
    <t>سهمیه</t>
  </si>
  <si>
    <t>عرض زمین</t>
  </si>
  <si>
    <t>داون هول</t>
  </si>
  <si>
    <t>چاهک اول</t>
  </si>
  <si>
    <t>چاهک دوم</t>
  </si>
  <si>
    <t>گمانه اول (تراز پایه)</t>
  </si>
  <si>
    <t>گمانه دوم (عرض زمین + عمق گود)</t>
  </si>
  <si>
    <t xml:space="preserve">هزینه متر حفاری </t>
  </si>
  <si>
    <t>مجموع کل</t>
  </si>
  <si>
    <t>مجموع مطالعات صحرایی</t>
  </si>
  <si>
    <t>مجموع قرارداد همسان</t>
  </si>
  <si>
    <t>دو گمانه</t>
  </si>
  <si>
    <t>اضافه طراحی زیرزمین</t>
  </si>
  <si>
    <t xml:space="preserve">هزینه </t>
  </si>
  <si>
    <t>مبلغ کل</t>
  </si>
  <si>
    <t>گمانه سوم (عرض زمین + عمق گود)</t>
  </si>
  <si>
    <t>سه گمانه</t>
  </si>
  <si>
    <t>خاک</t>
  </si>
  <si>
    <t>اطلاعات پروژه</t>
  </si>
  <si>
    <t>آزمایشگاه خاک و بتن کاوش مهار البرز</t>
  </si>
  <si>
    <t>تنها اعداد سلول های زرد  قابلیت تغییر دارد</t>
  </si>
  <si>
    <t>آز</t>
  </si>
  <si>
    <t>آزمایشگاه کاوش مهار البرز</t>
  </si>
  <si>
    <t>آزمایشگاه خاک و بتن کاوش مهار البرز (34463863-026)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</si>
</sst>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scheme val="minor"/>
    </font>
    <font>
      <sz val="9"/>
      <color indexed="81"/>
      <name val="Tahoma"/>
    </font>
    <font>
      <b/>
      <sz val="9"/>
      <color indexed="81"/>
      <name val="Tahoma"/>
    </font>
    <font>
      <sz val="11"/>
      <color rgb="FF9C6500"/>
      <name val="Arial"/>
      <family val="2"/>
      <charset val="178"/>
      <scheme val="minor"/>
    </font>
    <font>
      <b/>
      <sz val="20"/>
      <color theme="1"/>
      <name val="B Nazanin"/>
      <charset val="178"/>
    </font>
    <font>
      <sz val="11"/>
      <color theme="1"/>
      <name val="B Nazanin"/>
      <charset val="178"/>
    </font>
    <font>
      <sz val="10"/>
      <color theme="1"/>
      <name val="B Nazanin"/>
      <charset val="178"/>
    </font>
    <font>
      <sz val="11"/>
      <color rgb="FF9C6500"/>
      <name val="B Nazanin"/>
      <charset val="178"/>
    </font>
    <font>
      <b/>
      <sz val="11"/>
      <color theme="1"/>
      <name val="B Nazanin"/>
      <charset val="178"/>
    </font>
    <font>
      <b/>
      <sz val="12"/>
      <color theme="1"/>
      <name val="B Nazanin"/>
      <charset val="178"/>
    </font>
    <font>
      <b/>
      <sz val="10"/>
      <color theme="1"/>
      <name val="B Nazanin"/>
      <charset val="178"/>
    </font>
    <font>
      <b/>
      <sz val="16"/>
      <color theme="1"/>
      <name val="B Nazanin"/>
      <charset val="178"/>
    </font>
    <font>
      <sz val="9"/>
      <color indexed="81"/>
      <name val="Tahoma"/>
      <charset val="17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B9C"/>
      </patternFill>
    </fill>
    <fill>
      <patternFill patternType="solid">
        <fgColor rgb="FF7030A0"/>
        <bgColor indexed="64"/>
      </patternFill>
    </fill>
    <fill>
      <patternFill patternType="solid">
        <fgColor rgb="FFFFFF7D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7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7" fillId="7" borderId="22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8" fillId="3" borderId="18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7" fillId="7" borderId="11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3" fontId="8" fillId="3" borderId="17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" fontId="7" fillId="7" borderId="23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3" fontId="7" fillId="7" borderId="2" xfId="1" applyNumberFormat="1" applyFont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0" fontId="7" fillId="7" borderId="2" xfId="1" applyFont="1" applyBorder="1" applyAlignment="1">
      <alignment horizontal="center" vertical="center"/>
    </xf>
    <xf numFmtId="3" fontId="9" fillId="8" borderId="3" xfId="0" applyNumberFormat="1" applyFont="1" applyFill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center" vertical="center"/>
    </xf>
    <xf numFmtId="3" fontId="8" fillId="4" borderId="15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3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3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3" fontId="7" fillId="7" borderId="2" xfId="1" applyNumberFormat="1" applyFont="1" applyBorder="1" applyAlignment="1">
      <alignment horizontal="center" vertical="center"/>
    </xf>
    <xf numFmtId="3" fontId="7" fillId="7" borderId="23" xfId="1" applyNumberFormat="1" applyFont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FFF7D"/>
      <color rgb="FFCDCDFF"/>
      <color rgb="FF99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2"/>
  <sheetViews>
    <sheetView tabSelected="1" workbookViewId="0">
      <selection activeCell="T20" sqref="T20"/>
    </sheetView>
  </sheetViews>
  <sheetFormatPr defaultColWidth="9.09765625" defaultRowHeight="13.8" x14ac:dyDescent="0.25"/>
  <cols>
    <col min="1" max="2" width="1.69921875" style="1" customWidth="1"/>
    <col min="3" max="3" width="9.09765625" style="1"/>
    <col min="4" max="4" width="15.09765625" style="1" customWidth="1"/>
    <col min="5" max="5" width="11.8984375" style="1" customWidth="1"/>
    <col min="6" max="6" width="4.09765625" style="1" customWidth="1"/>
    <col min="7" max="7" width="16.69921875" style="1" customWidth="1"/>
    <col min="8" max="8" width="17.09765625" style="1" customWidth="1"/>
    <col min="9" max="9" width="13" style="1" customWidth="1"/>
    <col min="10" max="10" width="4.296875" style="1" customWidth="1"/>
    <col min="11" max="11" width="19" style="1" customWidth="1"/>
    <col min="12" max="12" width="3.3984375" style="1" customWidth="1"/>
    <col min="13" max="13" width="13.59765625" style="1" customWidth="1"/>
    <col min="14" max="14" width="2.296875" style="1" customWidth="1"/>
    <col min="15" max="15" width="1.5" style="1" customWidth="1"/>
    <col min="16" max="16" width="11.3984375" style="1" customWidth="1"/>
    <col min="17" max="17" width="15" style="1" customWidth="1"/>
    <col min="18" max="18" width="1.59765625" style="1" customWidth="1"/>
    <col min="19" max="16384" width="9.09765625" style="1"/>
  </cols>
  <sheetData>
    <row r="1" spans="1:18" ht="14.4" thickBot="1" x14ac:dyDescent="0.3"/>
    <row r="2" spans="1:18" ht="43.2" customHeight="1" thickBot="1" x14ac:dyDescent="0.3">
      <c r="B2" s="72" t="s">
        <v>29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4"/>
    </row>
    <row r="3" spans="1:18" ht="9" customHeight="1" thickBot="1" x14ac:dyDescent="0.3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  <c r="P3" s="2"/>
      <c r="Q3" s="2"/>
      <c r="R3" s="2"/>
    </row>
    <row r="4" spans="1:18" ht="13.8" customHeight="1" x14ac:dyDescent="0.25">
      <c r="B4" s="47"/>
      <c r="C4" s="66" t="s">
        <v>23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  <c r="O4" s="48"/>
      <c r="P4" s="62" t="s">
        <v>4</v>
      </c>
      <c r="Q4" s="63"/>
      <c r="R4" s="2"/>
    </row>
    <row r="5" spans="1:18" ht="27.6" customHeight="1" thickBot="1" x14ac:dyDescent="0.3">
      <c r="B5" s="47"/>
      <c r="C5" s="69"/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  <c r="O5" s="48"/>
      <c r="P5" s="64"/>
      <c r="Q5" s="65"/>
      <c r="R5" s="2"/>
    </row>
    <row r="6" spans="1:18" ht="7.5" customHeight="1" thickBot="1" x14ac:dyDescent="0.3">
      <c r="B6" s="47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8"/>
      <c r="P6" s="4"/>
      <c r="Q6" s="4"/>
      <c r="R6" s="2"/>
    </row>
    <row r="7" spans="1:18" ht="15" customHeight="1" thickBot="1" x14ac:dyDescent="0.3">
      <c r="B7" s="47"/>
      <c r="C7" s="80" t="s">
        <v>17</v>
      </c>
      <c r="D7" s="5"/>
      <c r="E7" s="6" t="s">
        <v>24</v>
      </c>
      <c r="F7" s="5"/>
      <c r="G7" s="5"/>
      <c r="H7" s="5"/>
      <c r="I7" s="5"/>
      <c r="J7" s="5"/>
      <c r="K7" s="5"/>
      <c r="L7" s="5"/>
      <c r="M7" s="5"/>
      <c r="N7" s="7"/>
      <c r="O7" s="48"/>
      <c r="P7" s="39" t="s">
        <v>0</v>
      </c>
      <c r="Q7" s="55">
        <v>900</v>
      </c>
      <c r="R7" s="2"/>
    </row>
    <row r="8" spans="1:18" ht="15" customHeight="1" thickBot="1" x14ac:dyDescent="0.3">
      <c r="B8" s="47"/>
      <c r="C8" s="81"/>
      <c r="D8" s="8" t="s">
        <v>0</v>
      </c>
      <c r="E8" s="53">
        <v>1500</v>
      </c>
      <c r="F8" s="8"/>
      <c r="G8" s="9" t="s">
        <v>6</v>
      </c>
      <c r="H8" s="10">
        <f>IF(E8&lt;=2000,20000000,(20000000+((E8-2000)*8000)))</f>
        <v>20000000</v>
      </c>
      <c r="I8" s="5"/>
      <c r="J8" s="5"/>
      <c r="K8" s="11" t="s">
        <v>16</v>
      </c>
      <c r="L8" s="8"/>
      <c r="M8" s="27" t="s">
        <v>3</v>
      </c>
      <c r="N8" s="12"/>
      <c r="O8" s="48"/>
      <c r="P8" s="40" t="s">
        <v>1</v>
      </c>
      <c r="Q8" s="13">
        <f>IF(Q7&lt;500,6000000,IF(Q7&lt;=1000,8000000,Q7*8000*1.09))</f>
        <v>8000000</v>
      </c>
      <c r="R8" s="2"/>
    </row>
    <row r="9" spans="1:18" ht="15" customHeight="1" thickBot="1" x14ac:dyDescent="0.3">
      <c r="B9" s="47"/>
      <c r="C9" s="81"/>
      <c r="D9" s="8" t="s">
        <v>5</v>
      </c>
      <c r="E9" s="53">
        <v>1</v>
      </c>
      <c r="F9" s="8"/>
      <c r="G9" s="14" t="s">
        <v>18</v>
      </c>
      <c r="H9" s="15">
        <f>E9*2000000</f>
        <v>2000000</v>
      </c>
      <c r="I9" s="16"/>
      <c r="J9" s="16"/>
      <c r="K9" s="17">
        <f>(H8+H9)*1.09</f>
        <v>23980000</v>
      </c>
      <c r="L9" s="8"/>
      <c r="M9" s="18">
        <f>(H8+H9)*0.03</f>
        <v>660000</v>
      </c>
      <c r="N9" s="12"/>
      <c r="O9" s="48"/>
      <c r="P9" s="41" t="s">
        <v>3</v>
      </c>
      <c r="Q9" s="19">
        <f>IF(Q7&lt;500,180000,IF(Q7&lt;=1000,240000,Q7*8000*0.03))</f>
        <v>240000</v>
      </c>
      <c r="R9" s="2"/>
    </row>
    <row r="10" spans="1:18" ht="19.2" thickBot="1" x14ac:dyDescent="0.3">
      <c r="B10" s="47"/>
      <c r="C10" s="81"/>
      <c r="D10" s="8" t="s">
        <v>7</v>
      </c>
      <c r="E10" s="53">
        <v>15</v>
      </c>
      <c r="F10" s="8"/>
      <c r="G10" s="8"/>
      <c r="H10" s="8"/>
      <c r="I10" s="8"/>
      <c r="J10" s="8"/>
      <c r="K10" s="8"/>
      <c r="L10" s="8"/>
      <c r="M10" s="27" t="s">
        <v>2</v>
      </c>
      <c r="N10" s="12"/>
      <c r="O10" s="48"/>
      <c r="P10" s="42" t="s">
        <v>2</v>
      </c>
      <c r="Q10" s="37">
        <v>300000</v>
      </c>
      <c r="R10" s="2"/>
    </row>
    <row r="11" spans="1:18" ht="19.2" thickBot="1" x14ac:dyDescent="0.3">
      <c r="A11" s="1" t="s">
        <v>27</v>
      </c>
      <c r="B11" s="47"/>
      <c r="C11" s="81"/>
      <c r="D11" s="8"/>
      <c r="E11" s="54"/>
      <c r="F11" s="8"/>
      <c r="G11" s="9"/>
      <c r="H11" s="21" t="s">
        <v>0</v>
      </c>
      <c r="I11" s="22" t="s">
        <v>19</v>
      </c>
      <c r="J11" s="5"/>
      <c r="K11" s="85" t="s">
        <v>28</v>
      </c>
      <c r="L11" s="8"/>
      <c r="M11" s="23">
        <v>300000</v>
      </c>
      <c r="N11" s="12"/>
      <c r="O11" s="48"/>
      <c r="P11" s="43" t="s">
        <v>20</v>
      </c>
      <c r="Q11" s="38">
        <f>Q8+Q9+Q10</f>
        <v>8540000</v>
      </c>
      <c r="R11" s="2"/>
    </row>
    <row r="12" spans="1:18" ht="18" thickBot="1" x14ac:dyDescent="0.3">
      <c r="B12" s="47"/>
      <c r="C12" s="81"/>
      <c r="D12" s="25" t="s">
        <v>13</v>
      </c>
      <c r="E12" s="53">
        <v>300000</v>
      </c>
      <c r="F12" s="8"/>
      <c r="G12" s="30" t="s">
        <v>11</v>
      </c>
      <c r="H12" s="31">
        <f>30+(E9*3)+1</f>
        <v>34</v>
      </c>
      <c r="I12" s="79">
        <f>(H12+H13)*E12</f>
        <v>15900000</v>
      </c>
      <c r="J12" s="8"/>
      <c r="K12" s="86"/>
      <c r="L12" s="8"/>
      <c r="M12" s="8"/>
      <c r="N12" s="12"/>
      <c r="O12" s="48"/>
      <c r="P12" s="4"/>
      <c r="Q12" s="4"/>
      <c r="R12" s="2"/>
    </row>
    <row r="13" spans="1:18" ht="33" thickBot="1" x14ac:dyDescent="0.3">
      <c r="B13" s="47"/>
      <c r="C13" s="81"/>
      <c r="D13" s="8"/>
      <c r="E13" s="8"/>
      <c r="F13" s="8"/>
      <c r="G13" s="32" t="s">
        <v>12</v>
      </c>
      <c r="H13" s="33">
        <f>E10+(E9*3)+1</f>
        <v>19</v>
      </c>
      <c r="I13" s="78"/>
      <c r="J13" s="8"/>
      <c r="K13" s="12"/>
      <c r="L13" s="8"/>
      <c r="M13" s="8"/>
      <c r="N13" s="12"/>
      <c r="O13" s="48"/>
      <c r="P13" s="56" t="s">
        <v>25</v>
      </c>
      <c r="Q13" s="57"/>
      <c r="R13" s="58"/>
    </row>
    <row r="14" spans="1:18" ht="19.2" thickBot="1" x14ac:dyDescent="0.3">
      <c r="B14" s="47"/>
      <c r="C14" s="81"/>
      <c r="D14" s="56" t="s">
        <v>26</v>
      </c>
      <c r="E14" s="58"/>
      <c r="F14" s="8"/>
      <c r="G14" s="20" t="s">
        <v>9</v>
      </c>
      <c r="H14" s="33">
        <f>IF(E9=0,4,IF(E9=1,5,7))</f>
        <v>5</v>
      </c>
      <c r="I14" s="78">
        <f>(H14+H15)*250000</f>
        <v>2500000</v>
      </c>
      <c r="J14" s="8"/>
      <c r="K14" s="26" t="s">
        <v>15</v>
      </c>
      <c r="L14" s="8"/>
      <c r="M14" s="27" t="s">
        <v>14</v>
      </c>
      <c r="N14" s="12"/>
      <c r="O14" s="48"/>
      <c r="P14" s="59"/>
      <c r="Q14" s="60"/>
      <c r="R14" s="61"/>
    </row>
    <row r="15" spans="1:18" ht="21" thickBot="1" x14ac:dyDescent="0.3">
      <c r="B15" s="47"/>
      <c r="C15" s="81"/>
      <c r="D15" s="59"/>
      <c r="E15" s="61"/>
      <c r="F15" s="8"/>
      <c r="G15" s="20" t="s">
        <v>10</v>
      </c>
      <c r="H15" s="33">
        <f>IF(E9=0,0,IF(E9=1,5,7))</f>
        <v>5</v>
      </c>
      <c r="I15" s="78"/>
      <c r="J15" s="8"/>
      <c r="K15" s="17">
        <f>I12+I14+I16</f>
        <v>19900000</v>
      </c>
      <c r="L15" s="8"/>
      <c r="M15" s="34">
        <f>K9+K15+M9+M11</f>
        <v>44840000</v>
      </c>
      <c r="N15" s="12"/>
      <c r="O15" s="48"/>
    </row>
    <row r="16" spans="1:18" ht="17.399999999999999" thickBot="1" x14ac:dyDescent="0.3">
      <c r="B16" s="47"/>
      <c r="C16" s="81"/>
      <c r="D16" s="8"/>
      <c r="E16" s="8"/>
      <c r="F16" s="8"/>
      <c r="G16" s="24" t="s">
        <v>8</v>
      </c>
      <c r="H16" s="15"/>
      <c r="I16" s="15">
        <v>1500000</v>
      </c>
      <c r="J16" s="16"/>
      <c r="K16" s="29"/>
      <c r="L16" s="8"/>
      <c r="M16" s="8"/>
      <c r="N16" s="12"/>
      <c r="O16" s="48"/>
    </row>
    <row r="17" spans="2:17" ht="17.399999999999999" thickBot="1" x14ac:dyDescent="0.3">
      <c r="B17" s="47"/>
      <c r="C17" s="82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29"/>
      <c r="O17" s="48"/>
      <c r="P17" s="28"/>
      <c r="Q17" s="28"/>
    </row>
    <row r="18" spans="2:17" ht="8.4" customHeight="1" thickBot="1" x14ac:dyDescent="0.3">
      <c r="B18" s="47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8"/>
      <c r="P18" s="28"/>
      <c r="Q18" s="28"/>
    </row>
    <row r="19" spans="2:17" ht="17.399999999999999" thickBot="1" x14ac:dyDescent="0.3">
      <c r="B19" s="47"/>
      <c r="C19" s="75" t="s">
        <v>22</v>
      </c>
      <c r="D19" s="5"/>
      <c r="E19" s="6" t="s">
        <v>24</v>
      </c>
      <c r="F19" s="5"/>
      <c r="G19" s="5"/>
      <c r="H19" s="5"/>
      <c r="I19" s="5"/>
      <c r="J19" s="5"/>
      <c r="K19" s="5"/>
      <c r="L19" s="5"/>
      <c r="M19" s="5"/>
      <c r="N19" s="7"/>
      <c r="O19" s="48"/>
      <c r="P19" s="28"/>
      <c r="Q19" s="28"/>
    </row>
    <row r="20" spans="2:17" ht="19.2" thickBot="1" x14ac:dyDescent="0.3">
      <c r="B20" s="47"/>
      <c r="C20" s="76"/>
      <c r="D20" s="8" t="s">
        <v>0</v>
      </c>
      <c r="E20" s="53">
        <v>1500</v>
      </c>
      <c r="F20" s="8"/>
      <c r="G20" s="9" t="s">
        <v>6</v>
      </c>
      <c r="H20" s="10">
        <f>IF(E20&lt;=2000,20000000,(20000000+((E20-2000)*8000)))</f>
        <v>20000000</v>
      </c>
      <c r="I20" s="5"/>
      <c r="J20" s="5"/>
      <c r="K20" s="11" t="s">
        <v>16</v>
      </c>
      <c r="L20" s="8"/>
      <c r="M20" s="27" t="s">
        <v>3</v>
      </c>
      <c r="N20" s="12"/>
      <c r="O20" s="48"/>
      <c r="P20" s="28"/>
      <c r="Q20" s="28"/>
    </row>
    <row r="21" spans="2:17" ht="21" thickBot="1" x14ac:dyDescent="0.3">
      <c r="B21" s="47"/>
      <c r="C21" s="76"/>
      <c r="D21" s="8" t="s">
        <v>5</v>
      </c>
      <c r="E21" s="53">
        <v>2</v>
      </c>
      <c r="F21" s="8"/>
      <c r="G21" s="14" t="s">
        <v>18</v>
      </c>
      <c r="H21" s="15">
        <f>E21*2000000</f>
        <v>4000000</v>
      </c>
      <c r="I21" s="16"/>
      <c r="J21" s="16"/>
      <c r="K21" s="17">
        <f>(H20+H21)*1.09</f>
        <v>26160000.000000004</v>
      </c>
      <c r="L21" s="8"/>
      <c r="M21" s="18">
        <f>(H20+H21)*0.03</f>
        <v>720000</v>
      </c>
      <c r="N21" s="12"/>
      <c r="O21" s="48"/>
      <c r="P21" s="28"/>
      <c r="Q21" s="28"/>
    </row>
    <row r="22" spans="2:17" ht="19.2" thickBot="1" x14ac:dyDescent="0.3">
      <c r="B22" s="47"/>
      <c r="C22" s="76"/>
      <c r="D22" s="8" t="s">
        <v>7</v>
      </c>
      <c r="E22" s="53">
        <v>15</v>
      </c>
      <c r="F22" s="8"/>
      <c r="G22" s="8"/>
      <c r="H22" s="8"/>
      <c r="I22" s="8"/>
      <c r="J22" s="8"/>
      <c r="K22" s="8"/>
      <c r="L22" s="8"/>
      <c r="M22" s="27" t="s">
        <v>2</v>
      </c>
      <c r="N22" s="12"/>
      <c r="O22" s="48"/>
      <c r="P22" s="28"/>
      <c r="Q22" s="28"/>
    </row>
    <row r="23" spans="2:17" ht="18" thickBot="1" x14ac:dyDescent="0.3">
      <c r="B23" s="47"/>
      <c r="C23" s="76"/>
      <c r="D23" s="8"/>
      <c r="E23" s="54"/>
      <c r="F23" s="8"/>
      <c r="G23" s="9"/>
      <c r="H23" s="21" t="s">
        <v>0</v>
      </c>
      <c r="I23" s="22" t="s">
        <v>19</v>
      </c>
      <c r="J23" s="5"/>
      <c r="K23" s="85" t="s">
        <v>28</v>
      </c>
      <c r="L23" s="8"/>
      <c r="M23" s="23">
        <v>300000</v>
      </c>
      <c r="N23" s="12"/>
      <c r="O23" s="48"/>
      <c r="P23" s="28"/>
      <c r="Q23" s="28"/>
    </row>
    <row r="24" spans="2:17" ht="18" thickBot="1" x14ac:dyDescent="0.3">
      <c r="B24" s="47"/>
      <c r="C24" s="76"/>
      <c r="D24" s="25" t="s">
        <v>13</v>
      </c>
      <c r="E24" s="53">
        <v>300000</v>
      </c>
      <c r="F24" s="8"/>
      <c r="G24" s="30" t="s">
        <v>11</v>
      </c>
      <c r="H24" s="31">
        <f>30+(E21*3)+1</f>
        <v>37</v>
      </c>
      <c r="I24" s="79">
        <f>(H24+H25+H26)*E24</f>
        <v>24300000</v>
      </c>
      <c r="J24" s="8"/>
      <c r="K24" s="86"/>
      <c r="L24" s="8"/>
      <c r="M24" s="8"/>
      <c r="N24" s="12"/>
      <c r="O24" s="48"/>
      <c r="P24" s="28"/>
      <c r="Q24" s="28"/>
    </row>
    <row r="25" spans="2:17" ht="33" thickBot="1" x14ac:dyDescent="0.3">
      <c r="B25" s="47"/>
      <c r="C25" s="76"/>
      <c r="D25" s="8"/>
      <c r="E25" s="8"/>
      <c r="F25" s="8"/>
      <c r="G25" s="32" t="s">
        <v>12</v>
      </c>
      <c r="H25" s="33">
        <f>E22+(E21*3)+1</f>
        <v>22</v>
      </c>
      <c r="I25" s="78"/>
      <c r="J25" s="8"/>
      <c r="K25" s="12"/>
      <c r="L25" s="8"/>
      <c r="M25" s="8"/>
      <c r="N25" s="12"/>
      <c r="O25" s="48"/>
      <c r="P25" s="28"/>
      <c r="Q25" s="28"/>
    </row>
    <row r="26" spans="2:17" ht="33" thickBot="1" x14ac:dyDescent="0.3">
      <c r="B26" s="47"/>
      <c r="C26" s="76"/>
      <c r="D26" s="83" t="s">
        <v>26</v>
      </c>
      <c r="E26" s="84"/>
      <c r="F26" s="8"/>
      <c r="G26" s="32" t="s">
        <v>21</v>
      </c>
      <c r="H26" s="35">
        <f>E22+(E21*3)+1</f>
        <v>22</v>
      </c>
      <c r="I26" s="78"/>
      <c r="J26" s="8"/>
      <c r="K26" s="12"/>
      <c r="L26" s="8"/>
      <c r="M26" s="8"/>
      <c r="N26" s="12"/>
      <c r="O26" s="48"/>
      <c r="P26" s="28"/>
      <c r="Q26" s="28"/>
    </row>
    <row r="27" spans="2:17" ht="19.2" thickBot="1" x14ac:dyDescent="0.3">
      <c r="B27" s="47"/>
      <c r="C27" s="76"/>
      <c r="D27" s="8"/>
      <c r="E27" s="8"/>
      <c r="F27" s="8"/>
      <c r="G27" s="20" t="s">
        <v>9</v>
      </c>
      <c r="H27" s="33">
        <f>IF(E21=0,4,IF(E21=1,5,7))</f>
        <v>7</v>
      </c>
      <c r="I27" s="78">
        <f>(H27+H28)*250000</f>
        <v>3500000</v>
      </c>
      <c r="J27" s="8"/>
      <c r="K27" s="26" t="s">
        <v>15</v>
      </c>
      <c r="L27" s="8"/>
      <c r="M27" s="27" t="s">
        <v>14</v>
      </c>
      <c r="N27" s="12"/>
      <c r="O27" s="48"/>
      <c r="P27" s="28"/>
      <c r="Q27" s="28"/>
    </row>
    <row r="28" spans="2:17" ht="21" thickBot="1" x14ac:dyDescent="0.3">
      <c r="B28" s="47"/>
      <c r="C28" s="76"/>
      <c r="D28" s="8"/>
      <c r="E28" s="8"/>
      <c r="F28" s="8"/>
      <c r="G28" s="20" t="s">
        <v>10</v>
      </c>
      <c r="H28" s="33">
        <f>IF(E21=0,0,IF(E21=1,5,7))</f>
        <v>7</v>
      </c>
      <c r="I28" s="78"/>
      <c r="J28" s="8"/>
      <c r="K28" s="17">
        <f>I24+I27+I29</f>
        <v>29300000</v>
      </c>
      <c r="L28" s="8"/>
      <c r="M28" s="36">
        <f>K21+K28+M21+M23</f>
        <v>56480000</v>
      </c>
      <c r="N28" s="12"/>
      <c r="O28" s="48"/>
      <c r="P28" s="28"/>
      <c r="Q28" s="28"/>
    </row>
    <row r="29" spans="2:17" ht="17.399999999999999" thickBot="1" x14ac:dyDescent="0.3">
      <c r="B29" s="47"/>
      <c r="C29" s="76"/>
      <c r="D29" s="8"/>
      <c r="E29" s="8"/>
      <c r="F29" s="8"/>
      <c r="G29" s="24" t="s">
        <v>8</v>
      </c>
      <c r="H29" s="15"/>
      <c r="I29" s="15">
        <v>1500000</v>
      </c>
      <c r="J29" s="16"/>
      <c r="K29" s="29"/>
      <c r="L29" s="8"/>
      <c r="M29" s="8"/>
      <c r="N29" s="12"/>
      <c r="O29" s="48"/>
      <c r="P29" s="28"/>
      <c r="Q29" s="28"/>
    </row>
    <row r="30" spans="2:17" ht="17.399999999999999" thickBot="1" x14ac:dyDescent="0.3">
      <c r="B30" s="47"/>
      <c r="C30" s="7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29"/>
      <c r="O30" s="48"/>
      <c r="P30" s="28"/>
      <c r="Q30" s="28"/>
    </row>
    <row r="31" spans="2:17" ht="9" customHeight="1" thickBot="1" x14ac:dyDescent="0.3"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</row>
    <row r="32" spans="2:17" x14ac:dyDescent="0.25">
      <c r="O32" s="3"/>
    </row>
  </sheetData>
  <sheetProtection algorithmName="SHA-512" hashValue="dgmBjf/utIXhIjFKbyiYfCCHwSvpHn8Nz5CxrRJd/OcSTgQkrV/FvX3M4REbwdWzaxzB2ctr20k+imKg8FgK5A==" saltValue="OkWVvP8DnJBKAL5tT5PlCg==" spinCount="100000" sheet="1" objects="1" scenarios="1"/>
  <mergeCells count="14">
    <mergeCell ref="P13:R14"/>
    <mergeCell ref="P4:Q5"/>
    <mergeCell ref="C4:N5"/>
    <mergeCell ref="B2:R2"/>
    <mergeCell ref="C19:C30"/>
    <mergeCell ref="I27:I28"/>
    <mergeCell ref="I24:I26"/>
    <mergeCell ref="I12:I13"/>
    <mergeCell ref="I14:I15"/>
    <mergeCell ref="C7:C17"/>
    <mergeCell ref="D14:E15"/>
    <mergeCell ref="D26:E26"/>
    <mergeCell ref="K11:K12"/>
    <mergeCell ref="K23:K24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Sun899</dc:creator>
  <cp:lastModifiedBy>Lenovo</cp:lastModifiedBy>
  <dcterms:created xsi:type="dcterms:W3CDTF">2021-02-14T06:09:30Z</dcterms:created>
  <dcterms:modified xsi:type="dcterms:W3CDTF">2022-08-13T09:26:46Z</dcterms:modified>
</cp:coreProperties>
</file>