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ob\Co. KMA\Site\Papers\1401-Tarefeh\اصلاحی\"/>
    </mc:Choice>
  </mc:AlternateContent>
  <workbookProtection workbookAlgorithmName="SHA-512" workbookHashValue="MqZ58eCf0ewe/tI+B4oQnbiOHH9blvxGLqFc9tw9oYb7gQbeTxkYhn9zE7vMKbm4AWA3l9a6RM35cJW7OfxWRw==" workbookSaltValue="e4bk66uOjjSVpD9Dgzr2Ag==" workbookSpinCount="100000" lockStructure="1"/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L25" i="1"/>
  <c r="L14" i="1"/>
  <c r="G32" i="1" l="1"/>
  <c r="G38" i="1"/>
  <c r="G33" i="1"/>
  <c r="L33" i="1"/>
  <c r="G21" i="1"/>
  <c r="G20" i="1"/>
  <c r="L21" i="1"/>
  <c r="G10" i="1"/>
  <c r="G11" i="1"/>
  <c r="L11" i="1"/>
  <c r="P11" i="1"/>
  <c r="P10" i="1"/>
  <c r="G40" i="1" l="1"/>
  <c r="G39" i="1"/>
  <c r="G37" i="1"/>
  <c r="G36" i="1"/>
  <c r="H36" i="1" l="1"/>
  <c r="H39" i="1"/>
  <c r="J33" i="1"/>
  <c r="G27" i="1"/>
  <c r="G25" i="1"/>
  <c r="G26" i="1"/>
  <c r="G24" i="1"/>
  <c r="G15" i="1"/>
  <c r="H15" i="1" s="1"/>
  <c r="G14" i="1"/>
  <c r="H14" i="1" s="1"/>
  <c r="J40" i="1" l="1"/>
  <c r="L40" i="1" s="1"/>
  <c r="P13" i="1"/>
  <c r="H24" i="1"/>
  <c r="H26" i="1"/>
  <c r="J21" i="1"/>
  <c r="J15" i="1"/>
  <c r="J11" i="1"/>
  <c r="L16" i="1" l="1"/>
  <c r="J27" i="1"/>
  <c r="L27" i="1" s="1"/>
</calcChain>
</file>

<file path=xl/comments1.xml><?xml version="1.0" encoding="utf-8"?>
<comments xmlns="http://schemas.openxmlformats.org/spreadsheetml/2006/main">
  <authors>
    <author>Lenovo</author>
    <author>Sun899</author>
  </authors>
  <commentList>
    <comment ref="C12" authorId="0" shapeId="0">
      <text>
        <r>
          <rPr>
            <b/>
            <sz val="9"/>
            <color indexed="81"/>
            <rFont val="Tahoma"/>
            <charset val="178"/>
          </rPr>
          <t>Lenovo:</t>
        </r>
        <r>
          <rPr>
            <sz val="9"/>
            <color indexed="81"/>
            <rFont val="Tahoma"/>
            <charset val="178"/>
          </rPr>
          <t xml:space="preserve">
در صورتی که ملک در هشتگرد، نظر آباد، گرمدره، اشتهارد و طالقان باشد، عدد 1 وارد شود
</t>
        </r>
      </text>
    </comment>
    <comment ref="C14" authorId="1" shapeId="0">
      <text>
        <r>
          <rPr>
            <b/>
            <sz val="9"/>
            <color indexed="81"/>
            <rFont val="Tahoma"/>
          </rPr>
          <t>Sun899:</t>
        </r>
        <r>
          <rPr>
            <sz val="9"/>
            <color indexed="81"/>
            <rFont val="Tahoma"/>
          </rPr>
          <t xml:space="preserve">
ریزدانه=400000  ماسه=450000   شن=500000</t>
        </r>
      </text>
    </comment>
    <comment ref="C23" authorId="0" shapeId="0">
      <text>
        <r>
          <rPr>
            <b/>
            <sz val="9"/>
            <color indexed="81"/>
            <rFont val="Tahoma"/>
            <charset val="178"/>
          </rPr>
          <t>Lenovo:</t>
        </r>
        <r>
          <rPr>
            <sz val="9"/>
            <color indexed="81"/>
            <rFont val="Tahoma"/>
            <charset val="178"/>
          </rPr>
          <t xml:space="preserve">
در صورتی که ملک در هشتگرد، نظر آباد، گرمدره، اشتهارد و طالقان باشد، عدد 1 وارد شود
</t>
        </r>
      </text>
    </comment>
    <comment ref="C24" authorId="1" shapeId="0">
      <text>
        <r>
          <rPr>
            <b/>
            <sz val="9"/>
            <color indexed="81"/>
            <rFont val="Tahoma"/>
          </rPr>
          <t>Sun899:</t>
        </r>
        <r>
          <rPr>
            <sz val="9"/>
            <color indexed="81"/>
            <rFont val="Tahoma"/>
          </rPr>
          <t xml:space="preserve">
ریزدانه=400000  ماسه=450000   شن=500000</t>
        </r>
      </text>
    </comment>
    <comment ref="C35" authorId="0" shapeId="0">
      <text>
        <r>
          <rPr>
            <b/>
            <sz val="9"/>
            <color indexed="81"/>
            <rFont val="Tahoma"/>
            <charset val="178"/>
          </rPr>
          <t>Lenovo:</t>
        </r>
        <r>
          <rPr>
            <sz val="9"/>
            <color indexed="81"/>
            <rFont val="Tahoma"/>
            <charset val="178"/>
          </rPr>
          <t xml:space="preserve">
در صورتی که ملک در هشتگرد، نظر آباد، گرمدره، اشتهارد و طالقان باشد، عدد 1 وارد شود
</t>
        </r>
      </text>
    </comment>
    <comment ref="C36" authorId="1" shapeId="0">
      <text>
        <r>
          <rPr>
            <b/>
            <sz val="9"/>
            <color indexed="81"/>
            <rFont val="Tahoma"/>
          </rPr>
          <t>Sun899:</t>
        </r>
        <r>
          <rPr>
            <sz val="9"/>
            <color indexed="81"/>
            <rFont val="Tahoma"/>
          </rPr>
          <t xml:space="preserve">
ریزدانه=400000  ماسه=450000   شن=500000</t>
        </r>
      </text>
    </comment>
  </commentList>
</comments>
</file>

<file path=xl/sharedStrings.xml><?xml version="1.0" encoding="utf-8"?>
<sst xmlns="http://schemas.openxmlformats.org/spreadsheetml/2006/main" count="73" uniqueCount="32">
  <si>
    <t>متراژ</t>
  </si>
  <si>
    <t>قیمت قرارداد</t>
  </si>
  <si>
    <t>فیش نظام</t>
  </si>
  <si>
    <t>فیش انجمن</t>
  </si>
  <si>
    <t>بتن</t>
  </si>
  <si>
    <t>سهمیه</t>
  </si>
  <si>
    <t>گمانه اول</t>
  </si>
  <si>
    <t>عرض زمین</t>
  </si>
  <si>
    <t xml:space="preserve">چاهک </t>
  </si>
  <si>
    <t>داون هول</t>
  </si>
  <si>
    <t>چاهک اول</t>
  </si>
  <si>
    <t>چاهک دوم</t>
  </si>
  <si>
    <t>گمانه اول (تراز پایه)</t>
  </si>
  <si>
    <t>گمانه دوم (عرض زمین + عمق گود)</t>
  </si>
  <si>
    <t xml:space="preserve">هزینه متر حفاری </t>
  </si>
  <si>
    <t>مجموع کل</t>
  </si>
  <si>
    <t>مجموع مطالعات صحرایی</t>
  </si>
  <si>
    <t>مجموع قرارداد همسان</t>
  </si>
  <si>
    <t>تک گمانه</t>
  </si>
  <si>
    <t>دو گمانه</t>
  </si>
  <si>
    <t>اضافه طراحی زیرزمین</t>
  </si>
  <si>
    <t xml:space="preserve">هزینه </t>
  </si>
  <si>
    <t>مبلغ کل</t>
  </si>
  <si>
    <t>سه گمانه</t>
  </si>
  <si>
    <t>خاک</t>
  </si>
  <si>
    <t>اطلاعات پروژه</t>
  </si>
  <si>
    <t>موقعیت ملک</t>
  </si>
  <si>
    <t>آزمایشگاه خاک و بتن کاوش مهار البرز</t>
  </si>
  <si>
    <t>آزمایشگاه خاک و بتن کاوش مهار البرز    09032459219</t>
  </si>
  <si>
    <t>گمانه سوم (6+ عمق گود)</t>
  </si>
  <si>
    <t>تعدادزیرزمین (تا 2 طبقه زیرزمین)</t>
  </si>
  <si>
    <t xml:space="preserve">راهنما: چنانچه سطح اشغال (مساحت زیرزمین) کمتر از 300 مترمربع می باشد، ردیف "تک گمانه" و در صورتیکه بین 300 تا 1000 مترمربع می باشد، ردیف "دو گمانه" اتخاب گردد. خانه های زرد (متراژ زیربنا، تعداد زیرزمین، موقعیت ملک و هزینه حفاری) باتوجه به دستور نقشه تکمیل گردد.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</si>
</sst>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11"/>
      <color rgb="FF9C6500"/>
      <name val="Arial"/>
      <family val="2"/>
      <charset val="178"/>
      <scheme val="minor"/>
    </font>
    <font>
      <b/>
      <sz val="20"/>
      <color theme="1"/>
      <name val="B Nazanin"/>
      <charset val="178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sz val="10"/>
      <color theme="1"/>
      <name val="B Nazanin"/>
      <charset val="178"/>
    </font>
    <font>
      <sz val="11"/>
      <color rgb="FF9C6500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6"/>
      <color theme="1"/>
      <name val="B Nazanin"/>
      <charset val="178"/>
    </font>
    <font>
      <sz val="9"/>
      <color indexed="81"/>
      <name val="Tahoma"/>
      <charset val="178"/>
    </font>
    <font>
      <b/>
      <sz val="9"/>
      <color indexed="81"/>
      <name val="Tahoma"/>
      <charset val="178"/>
    </font>
    <font>
      <sz val="12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9" fillId="3" borderId="1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 applyProtection="1">
      <alignment horizontal="center" vertical="center"/>
      <protection locked="0"/>
    </xf>
    <xf numFmtId="3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6" borderId="32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G13" sqref="G13"/>
    </sheetView>
  </sheetViews>
  <sheetFormatPr defaultColWidth="9.09765625" defaultRowHeight="13.8" x14ac:dyDescent="0.25"/>
  <cols>
    <col min="1" max="1" width="1.69921875" style="1" customWidth="1"/>
    <col min="2" max="2" width="9.09765625" style="1"/>
    <col min="3" max="3" width="36" style="1" customWidth="1"/>
    <col min="4" max="4" width="11.8984375" style="1" customWidth="1"/>
    <col min="5" max="5" width="4.09765625" style="1" customWidth="1"/>
    <col min="6" max="6" width="16.69921875" style="1" customWidth="1"/>
    <col min="7" max="7" width="17.09765625" style="1" customWidth="1"/>
    <col min="8" max="8" width="13" style="1" customWidth="1"/>
    <col min="9" max="9" width="4.296875" style="1" customWidth="1"/>
    <col min="10" max="10" width="19" style="1" customWidth="1"/>
    <col min="11" max="11" width="3.3984375" style="1" customWidth="1"/>
    <col min="12" max="12" width="13.59765625" style="1" customWidth="1"/>
    <col min="13" max="13" width="2.296875" style="1" customWidth="1"/>
    <col min="14" max="14" width="1.5" style="1" customWidth="1"/>
    <col min="15" max="15" width="11.3984375" style="1" customWidth="1"/>
    <col min="16" max="16" width="15" style="1" customWidth="1"/>
    <col min="17" max="17" width="1.59765625" style="1" customWidth="1"/>
    <col min="18" max="16384" width="9.09765625" style="1"/>
  </cols>
  <sheetData>
    <row r="1" spans="1:17" ht="31.2" customHeight="1" thickBot="1" x14ac:dyDescent="0.3"/>
    <row r="2" spans="1:17" ht="33" customHeight="1" thickBot="1" x14ac:dyDescent="0.3">
      <c r="A2" s="58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ht="9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3.8" customHeight="1" x14ac:dyDescent="0.25">
      <c r="A4" s="2"/>
      <c r="B4" s="65" t="s">
        <v>24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  <c r="N4" s="4"/>
      <c r="O4" s="61" t="s">
        <v>4</v>
      </c>
      <c r="P4" s="62"/>
      <c r="Q4" s="2"/>
    </row>
    <row r="5" spans="1:17" ht="27.6" customHeight="1" thickBot="1" x14ac:dyDescent="0.3">
      <c r="A5" s="2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4"/>
      <c r="O5" s="63"/>
      <c r="P5" s="64"/>
      <c r="Q5" s="2"/>
    </row>
    <row r="6" spans="1:17" ht="8.4" customHeight="1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</row>
    <row r="7" spans="1:17" ht="31.8" customHeight="1" x14ac:dyDescent="0.25">
      <c r="A7" s="34"/>
      <c r="B7" s="81" t="s">
        <v>31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34"/>
    </row>
    <row r="8" spans="1:17" ht="8.4" customHeight="1" thickBot="1" x14ac:dyDescent="0.3">
      <c r="A8" s="3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4"/>
    </row>
    <row r="9" spans="1:17" ht="14.4" customHeight="1" thickBot="1" x14ac:dyDescent="0.3">
      <c r="A9" s="2"/>
      <c r="B9" s="76" t="s">
        <v>18</v>
      </c>
      <c r="C9" s="5"/>
      <c r="D9" s="6" t="s">
        <v>25</v>
      </c>
      <c r="E9" s="5"/>
      <c r="F9" s="5"/>
      <c r="G9" s="5"/>
      <c r="H9" s="5"/>
      <c r="I9" s="5"/>
      <c r="J9" s="5"/>
      <c r="K9" s="5"/>
      <c r="L9" s="5"/>
      <c r="M9" s="7"/>
      <c r="N9" s="4"/>
      <c r="O9" s="30" t="s">
        <v>0</v>
      </c>
      <c r="P9" s="55">
        <v>1000</v>
      </c>
      <c r="Q9" s="2"/>
    </row>
    <row r="10" spans="1:17" ht="15" customHeight="1" thickBot="1" x14ac:dyDescent="0.3">
      <c r="A10" s="2"/>
      <c r="B10" s="77"/>
      <c r="C10" s="8" t="s">
        <v>0</v>
      </c>
      <c r="D10" s="54">
        <v>1000</v>
      </c>
      <c r="E10" s="8"/>
      <c r="F10" s="9" t="s">
        <v>5</v>
      </c>
      <c r="G10" s="35">
        <f>IF(D10&lt;=2000,40000000,(40000000+((D10-2000)*20000)))</f>
        <v>40000000</v>
      </c>
      <c r="H10" s="5"/>
      <c r="I10" s="5"/>
      <c r="J10" s="10" t="s">
        <v>17</v>
      </c>
      <c r="K10" s="8"/>
      <c r="L10" s="21" t="s">
        <v>3</v>
      </c>
      <c r="M10" s="11"/>
      <c r="N10" s="4"/>
      <c r="O10" s="12" t="s">
        <v>1</v>
      </c>
      <c r="P10" s="49">
        <f>IF(P9&lt;500,15000000,IF(P9&lt;=1000,20000000,P9*20000*1.09))</f>
        <v>20000000</v>
      </c>
      <c r="Q10" s="2"/>
    </row>
    <row r="11" spans="1:17" ht="15" customHeight="1" thickBot="1" x14ac:dyDescent="0.3">
      <c r="A11" s="2"/>
      <c r="B11" s="77"/>
      <c r="C11" s="8" t="s">
        <v>30</v>
      </c>
      <c r="D11" s="54">
        <v>0</v>
      </c>
      <c r="E11" s="8"/>
      <c r="F11" s="13" t="s">
        <v>20</v>
      </c>
      <c r="G11" s="36">
        <f>D11*3000000</f>
        <v>0</v>
      </c>
      <c r="H11" s="14"/>
      <c r="I11" s="14"/>
      <c r="J11" s="40">
        <f>(G10+G11)*1.09</f>
        <v>43600000</v>
      </c>
      <c r="K11" s="32"/>
      <c r="L11" s="41">
        <f>IF(D10&lt;2000,600000,IF(D10&lt;=2000,600000,D10*300))</f>
        <v>600000</v>
      </c>
      <c r="M11" s="11"/>
      <c r="N11" s="4"/>
      <c r="O11" s="27" t="s">
        <v>3</v>
      </c>
      <c r="P11" s="50">
        <f>IF(P9&lt;500,150000,IF(P9&lt;=1000,300000,P9*300))</f>
        <v>300000</v>
      </c>
      <c r="Q11" s="2"/>
    </row>
    <row r="12" spans="1:17" ht="15" customHeight="1" thickBot="1" x14ac:dyDescent="0.3">
      <c r="A12" s="2"/>
      <c r="B12" s="77"/>
      <c r="C12" s="32" t="s">
        <v>26</v>
      </c>
      <c r="D12" s="54">
        <v>0</v>
      </c>
      <c r="E12" s="8"/>
      <c r="F12" s="8"/>
      <c r="G12" s="8"/>
      <c r="H12" s="8"/>
      <c r="I12" s="8"/>
      <c r="J12" s="32"/>
      <c r="K12" s="32"/>
      <c r="L12" s="42" t="s">
        <v>2</v>
      </c>
      <c r="M12" s="11"/>
      <c r="N12" s="4"/>
      <c r="O12" s="28" t="s">
        <v>2</v>
      </c>
      <c r="P12" s="51">
        <v>300000</v>
      </c>
      <c r="Q12" s="2"/>
    </row>
    <row r="13" spans="1:17" ht="15" customHeight="1" thickBot="1" x14ac:dyDescent="0.3">
      <c r="A13" s="2"/>
      <c r="B13" s="77"/>
      <c r="C13" s="8"/>
      <c r="D13" s="33"/>
      <c r="E13" s="8"/>
      <c r="F13" s="9"/>
      <c r="G13" s="16" t="s">
        <v>0</v>
      </c>
      <c r="H13" s="52" t="s">
        <v>21</v>
      </c>
      <c r="I13" s="5"/>
      <c r="J13" s="47"/>
      <c r="K13" s="32"/>
      <c r="L13" s="43">
        <v>300000</v>
      </c>
      <c r="M13" s="11"/>
      <c r="N13" s="4"/>
      <c r="O13" s="29" t="s">
        <v>22</v>
      </c>
      <c r="P13" s="31">
        <f>P10+P11+P12</f>
        <v>20600000</v>
      </c>
      <c r="Q13" s="2"/>
    </row>
    <row r="14" spans="1:17" ht="15.6" customHeight="1" thickBot="1" x14ac:dyDescent="0.3">
      <c r="A14" s="2"/>
      <c r="B14" s="77"/>
      <c r="C14" s="19" t="s">
        <v>14</v>
      </c>
      <c r="D14" s="54">
        <v>500000</v>
      </c>
      <c r="E14" s="8"/>
      <c r="F14" s="15" t="s">
        <v>6</v>
      </c>
      <c r="G14" s="37">
        <f>30+(D11*3)+1</f>
        <v>31</v>
      </c>
      <c r="H14" s="37">
        <f>G14*D14</f>
        <v>15500000</v>
      </c>
      <c r="I14" s="8"/>
      <c r="J14" s="53" t="s">
        <v>16</v>
      </c>
      <c r="K14" s="32"/>
      <c r="L14" s="44">
        <f>D12*4000000</f>
        <v>0</v>
      </c>
      <c r="M14" s="11"/>
      <c r="N14" s="4"/>
      <c r="O14" s="4"/>
      <c r="P14" s="4"/>
      <c r="Q14" s="2"/>
    </row>
    <row r="15" spans="1:17" ht="15" customHeight="1" thickBot="1" x14ac:dyDescent="0.3">
      <c r="A15" s="2"/>
      <c r="B15" s="77"/>
      <c r="C15" s="8"/>
      <c r="D15" s="8"/>
      <c r="E15" s="8"/>
      <c r="F15" s="15" t="s">
        <v>8</v>
      </c>
      <c r="G15" s="37">
        <f>IF(D11=0,4,IF(D11=1,5,7))</f>
        <v>4</v>
      </c>
      <c r="H15" s="37">
        <f>G15*250000</f>
        <v>1000000</v>
      </c>
      <c r="I15" s="8"/>
      <c r="J15" s="40">
        <f>H14+H15+H16</f>
        <v>18000000</v>
      </c>
      <c r="K15" s="32"/>
      <c r="L15" s="42" t="s">
        <v>15</v>
      </c>
      <c r="M15" s="11"/>
      <c r="N15" s="4"/>
      <c r="O15" s="79" t="s">
        <v>27</v>
      </c>
      <c r="P15" s="79"/>
      <c r="Q15" s="80"/>
    </row>
    <row r="16" spans="1:17" ht="15" customHeight="1" thickBot="1" x14ac:dyDescent="0.3">
      <c r="A16" s="2"/>
      <c r="B16" s="77"/>
      <c r="C16" s="8"/>
      <c r="D16" s="8"/>
      <c r="E16" s="8"/>
      <c r="F16" s="18" t="s">
        <v>9</v>
      </c>
      <c r="G16" s="36"/>
      <c r="H16" s="36">
        <v>1500000</v>
      </c>
      <c r="I16" s="14"/>
      <c r="J16" s="23"/>
      <c r="K16" s="8"/>
      <c r="L16" s="24">
        <f>J11+J15+L11+L13+L14</f>
        <v>62500000</v>
      </c>
      <c r="M16" s="11"/>
      <c r="N16" s="4"/>
      <c r="O16" s="79"/>
      <c r="P16" s="79"/>
      <c r="Q16" s="80"/>
    </row>
    <row r="17" spans="1:17" ht="15" customHeight="1" thickBot="1" x14ac:dyDescent="0.3">
      <c r="A17" s="2"/>
      <c r="B17" s="7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3"/>
      <c r="N17" s="4"/>
      <c r="O17" s="79"/>
      <c r="P17" s="79"/>
      <c r="Q17" s="80"/>
    </row>
    <row r="18" spans="1:17" ht="7.5" customHeight="1" thickBot="1" x14ac:dyDescent="0.3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80"/>
    </row>
    <row r="19" spans="1:17" ht="15" customHeight="1" thickBot="1" x14ac:dyDescent="0.3">
      <c r="A19" s="2"/>
      <c r="B19" s="71" t="s">
        <v>19</v>
      </c>
      <c r="C19" s="5"/>
      <c r="D19" s="6" t="s">
        <v>25</v>
      </c>
      <c r="E19" s="5"/>
      <c r="F19" s="5"/>
      <c r="G19" s="5"/>
      <c r="H19" s="5"/>
      <c r="I19" s="5"/>
      <c r="J19" s="5"/>
      <c r="K19" s="5"/>
      <c r="L19" s="5"/>
      <c r="M19" s="7"/>
      <c r="N19" s="4"/>
      <c r="O19" s="22"/>
      <c r="P19" s="22"/>
    </row>
    <row r="20" spans="1:17" ht="15" customHeight="1" thickBot="1" x14ac:dyDescent="0.3">
      <c r="A20" s="2"/>
      <c r="B20" s="72"/>
      <c r="C20" s="8" t="s">
        <v>0</v>
      </c>
      <c r="D20" s="54">
        <v>2000</v>
      </c>
      <c r="E20" s="8"/>
      <c r="F20" s="9" t="s">
        <v>5</v>
      </c>
      <c r="G20" s="35">
        <f>IF(D20&lt;=2000,40000000,(40000000+((D20-2000)*20000)))</f>
        <v>40000000</v>
      </c>
      <c r="H20" s="5"/>
      <c r="I20" s="5"/>
      <c r="J20" s="10" t="s">
        <v>17</v>
      </c>
      <c r="K20" s="8"/>
      <c r="L20" s="21" t="s">
        <v>3</v>
      </c>
      <c r="M20" s="11"/>
      <c r="N20" s="4"/>
      <c r="O20" s="22"/>
      <c r="P20" s="22"/>
    </row>
    <row r="21" spans="1:17" ht="15" customHeight="1" thickBot="1" x14ac:dyDescent="0.3">
      <c r="A21" s="2"/>
      <c r="B21" s="72"/>
      <c r="C21" s="8" t="s">
        <v>30</v>
      </c>
      <c r="D21" s="54">
        <v>1</v>
      </c>
      <c r="E21" s="8"/>
      <c r="F21" s="13" t="s">
        <v>20</v>
      </c>
      <c r="G21" s="36">
        <f>D21*3000000</f>
        <v>3000000</v>
      </c>
      <c r="H21" s="14"/>
      <c r="I21" s="45"/>
      <c r="J21" s="40">
        <f>(G20+G21)*1.09</f>
        <v>46870000</v>
      </c>
      <c r="K21" s="32"/>
      <c r="L21" s="41">
        <f>IF(D20&lt;2000,600000,IF(D20&lt;=2000,600000,D20*300))</f>
        <v>600000</v>
      </c>
      <c r="M21" s="11"/>
      <c r="N21" s="4"/>
      <c r="O21" s="22"/>
      <c r="P21" s="22"/>
    </row>
    <row r="22" spans="1:17" ht="19.2" thickBot="1" x14ac:dyDescent="0.3">
      <c r="A22" s="2"/>
      <c r="B22" s="72"/>
      <c r="C22" s="8" t="s">
        <v>7</v>
      </c>
      <c r="D22" s="54">
        <v>15</v>
      </c>
      <c r="E22" s="8"/>
      <c r="F22" s="8"/>
      <c r="G22" s="8"/>
      <c r="H22" s="8"/>
      <c r="I22" s="32"/>
      <c r="J22" s="32"/>
      <c r="K22" s="32"/>
      <c r="L22" s="42" t="s">
        <v>2</v>
      </c>
      <c r="M22" s="11"/>
      <c r="N22" s="4"/>
      <c r="O22" s="22"/>
      <c r="P22" s="22"/>
    </row>
    <row r="23" spans="1:17" ht="18" thickBot="1" x14ac:dyDescent="0.3">
      <c r="A23" s="2"/>
      <c r="B23" s="72"/>
      <c r="C23" s="32" t="s">
        <v>26</v>
      </c>
      <c r="D23" s="54">
        <v>0</v>
      </c>
      <c r="E23" s="8"/>
      <c r="F23" s="9"/>
      <c r="G23" s="16" t="s">
        <v>0</v>
      </c>
      <c r="H23" s="17" t="s">
        <v>21</v>
      </c>
      <c r="I23" s="46"/>
      <c r="J23" s="47"/>
      <c r="K23" s="32"/>
      <c r="L23" s="43">
        <v>300000</v>
      </c>
      <c r="M23" s="11"/>
      <c r="N23" s="4"/>
      <c r="O23" s="22"/>
      <c r="P23" s="22"/>
    </row>
    <row r="24" spans="1:17" ht="18" thickBot="1" x14ac:dyDescent="0.3">
      <c r="A24" s="2"/>
      <c r="B24" s="72"/>
      <c r="C24" s="19" t="s">
        <v>14</v>
      </c>
      <c r="D24" s="54">
        <v>500000</v>
      </c>
      <c r="E24" s="8"/>
      <c r="F24" s="25" t="s">
        <v>12</v>
      </c>
      <c r="G24" s="38">
        <f>30+(D21*3)+1</f>
        <v>34</v>
      </c>
      <c r="H24" s="75">
        <f>(G24+G25)*D24</f>
        <v>26500000</v>
      </c>
      <c r="I24" s="32"/>
      <c r="J24" s="48"/>
      <c r="K24" s="32"/>
      <c r="L24" s="32"/>
      <c r="M24" s="11"/>
      <c r="N24" s="4"/>
      <c r="O24" s="22"/>
      <c r="P24" s="22"/>
    </row>
    <row r="25" spans="1:17" ht="33" thickBot="1" x14ac:dyDescent="0.3">
      <c r="A25" s="2"/>
      <c r="B25" s="72"/>
      <c r="C25" s="8"/>
      <c r="D25" s="8"/>
      <c r="E25" s="8"/>
      <c r="F25" s="26" t="s">
        <v>13</v>
      </c>
      <c r="G25" s="37">
        <f>D22+(D21*3)+1</f>
        <v>19</v>
      </c>
      <c r="H25" s="74"/>
      <c r="I25" s="32"/>
      <c r="J25" s="48"/>
      <c r="K25" s="32"/>
      <c r="L25" s="44">
        <f>D23*4000000</f>
        <v>0</v>
      </c>
      <c r="M25" s="11"/>
      <c r="N25" s="4"/>
      <c r="O25" s="22"/>
      <c r="P25" s="22"/>
    </row>
    <row r="26" spans="1:17" ht="19.2" customHeight="1" thickBot="1" x14ac:dyDescent="0.3">
      <c r="A26" s="2"/>
      <c r="B26" s="72"/>
      <c r="C26" s="56" t="s">
        <v>27</v>
      </c>
      <c r="D26" s="57"/>
      <c r="E26" s="8"/>
      <c r="F26" s="15" t="s">
        <v>10</v>
      </c>
      <c r="G26" s="37">
        <f>IF(D21=0,4,IF(D21=1,5,7))</f>
        <v>5</v>
      </c>
      <c r="H26" s="74">
        <f>(G26+G27)*250000</f>
        <v>2500000</v>
      </c>
      <c r="I26" s="8"/>
      <c r="J26" s="20" t="s">
        <v>16</v>
      </c>
      <c r="K26" s="8"/>
      <c r="L26" s="21" t="s">
        <v>15</v>
      </c>
      <c r="M26" s="11"/>
      <c r="N26" s="4"/>
      <c r="O26" s="22"/>
      <c r="P26" s="22"/>
    </row>
    <row r="27" spans="1:17" ht="21" customHeight="1" thickBot="1" x14ac:dyDescent="0.3">
      <c r="A27" s="2"/>
      <c r="B27" s="72"/>
      <c r="C27" s="56"/>
      <c r="D27" s="57"/>
      <c r="E27" s="8"/>
      <c r="F27" s="15" t="s">
        <v>11</v>
      </c>
      <c r="G27" s="37">
        <f>IF(D21=0,0,IF(D21=1,5,7))</f>
        <v>5</v>
      </c>
      <c r="H27" s="74"/>
      <c r="I27" s="8"/>
      <c r="J27" s="40">
        <f>H24+H26+H28</f>
        <v>30500000</v>
      </c>
      <c r="K27" s="8"/>
      <c r="L27" s="24">
        <f>J21+J27+L21+L23+L25</f>
        <v>78270000</v>
      </c>
      <c r="M27" s="11"/>
      <c r="N27" s="4"/>
      <c r="O27" s="22"/>
      <c r="P27" s="22"/>
    </row>
    <row r="28" spans="1:17" ht="17.399999999999999" thickBot="1" x14ac:dyDescent="0.3">
      <c r="A28" s="2"/>
      <c r="B28" s="72"/>
      <c r="C28" s="8"/>
      <c r="D28" s="8"/>
      <c r="E28" s="8"/>
      <c r="F28" s="18" t="s">
        <v>9</v>
      </c>
      <c r="G28" s="36"/>
      <c r="H28" s="36">
        <v>1500000</v>
      </c>
      <c r="I28" s="14"/>
      <c r="J28" s="23"/>
      <c r="K28" s="8"/>
      <c r="L28" s="8"/>
      <c r="M28" s="11"/>
      <c r="N28" s="4"/>
      <c r="O28" s="22"/>
      <c r="P28" s="22"/>
    </row>
    <row r="29" spans="1:17" ht="17.399999999999999" thickBot="1" x14ac:dyDescent="0.3">
      <c r="A29" s="2"/>
      <c r="B29" s="7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3"/>
      <c r="N29" s="4"/>
      <c r="O29" s="22"/>
      <c r="P29" s="22"/>
    </row>
    <row r="30" spans="1:17" ht="8.4" customHeight="1" thickBot="1" x14ac:dyDescent="0.3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2"/>
      <c r="P30" s="22"/>
    </row>
    <row r="31" spans="1:17" ht="17.399999999999999" thickBot="1" x14ac:dyDescent="0.3">
      <c r="A31" s="2"/>
      <c r="B31" s="71" t="s">
        <v>23</v>
      </c>
      <c r="C31" s="5"/>
      <c r="D31" s="6" t="s">
        <v>25</v>
      </c>
      <c r="E31" s="5"/>
      <c r="F31" s="5"/>
      <c r="G31" s="5"/>
      <c r="H31" s="5"/>
      <c r="I31" s="5"/>
      <c r="J31" s="5"/>
      <c r="K31" s="5"/>
      <c r="L31" s="5"/>
      <c r="M31" s="7"/>
      <c r="N31" s="4"/>
      <c r="O31" s="22"/>
      <c r="P31" s="22"/>
    </row>
    <row r="32" spans="1:17" ht="19.2" thickBot="1" x14ac:dyDescent="0.3">
      <c r="A32" s="2"/>
      <c r="B32" s="72"/>
      <c r="C32" s="8" t="s">
        <v>0</v>
      </c>
      <c r="D32" s="54">
        <v>3000</v>
      </c>
      <c r="E32" s="8"/>
      <c r="F32" s="9" t="s">
        <v>5</v>
      </c>
      <c r="G32" s="35">
        <f>IF(D32&lt;=2000,40000000,(40000000+((D32-2000)*20000)))</f>
        <v>60000000</v>
      </c>
      <c r="H32" s="5"/>
      <c r="I32" s="5"/>
      <c r="J32" s="10" t="s">
        <v>17</v>
      </c>
      <c r="K32" s="8"/>
      <c r="L32" s="21" t="s">
        <v>3</v>
      </c>
      <c r="M32" s="11"/>
      <c r="N32" s="4"/>
      <c r="O32" s="22"/>
      <c r="P32" s="22"/>
    </row>
    <row r="33" spans="1:16" ht="21" thickBot="1" x14ac:dyDescent="0.3">
      <c r="A33" s="2"/>
      <c r="B33" s="72"/>
      <c r="C33" s="8" t="s">
        <v>30</v>
      </c>
      <c r="D33" s="54">
        <v>2</v>
      </c>
      <c r="E33" s="8"/>
      <c r="F33" s="13" t="s">
        <v>20</v>
      </c>
      <c r="G33" s="36">
        <f>D33*3000000</f>
        <v>6000000</v>
      </c>
      <c r="H33" s="14"/>
      <c r="I33" s="14"/>
      <c r="J33" s="40">
        <f>(G32+G33)*1.09</f>
        <v>71940000</v>
      </c>
      <c r="K33" s="8"/>
      <c r="L33" s="41">
        <f>IF(D32&lt;2000,600000,IF(D32&lt;=2000,600000,D32*300))</f>
        <v>900000</v>
      </c>
      <c r="M33" s="11"/>
      <c r="N33" s="4"/>
      <c r="O33" s="22"/>
      <c r="P33" s="22"/>
    </row>
    <row r="34" spans="1:16" ht="19.2" thickBot="1" x14ac:dyDescent="0.3">
      <c r="A34" s="2"/>
      <c r="B34" s="72"/>
      <c r="C34" s="8" t="s">
        <v>7</v>
      </c>
      <c r="D34" s="54">
        <v>15</v>
      </c>
      <c r="E34" s="8"/>
      <c r="F34" s="8"/>
      <c r="G34" s="8"/>
      <c r="H34" s="8"/>
      <c r="I34" s="8"/>
      <c r="J34" s="8"/>
      <c r="K34" s="8"/>
      <c r="L34" s="42" t="s">
        <v>2</v>
      </c>
      <c r="M34" s="11"/>
      <c r="N34" s="4"/>
      <c r="O34" s="22"/>
      <c r="P34" s="22"/>
    </row>
    <row r="35" spans="1:16" ht="18" thickBot="1" x14ac:dyDescent="0.3">
      <c r="A35" s="2"/>
      <c r="B35" s="72"/>
      <c r="C35" s="32" t="s">
        <v>26</v>
      </c>
      <c r="D35" s="54">
        <v>0</v>
      </c>
      <c r="E35" s="8"/>
      <c r="F35" s="9"/>
      <c r="G35" s="16" t="s">
        <v>0</v>
      </c>
      <c r="H35" s="17" t="s">
        <v>21</v>
      </c>
      <c r="I35" s="5"/>
      <c r="J35" s="7"/>
      <c r="K35" s="8"/>
      <c r="L35" s="43">
        <v>300000</v>
      </c>
      <c r="M35" s="11"/>
      <c r="N35" s="4"/>
      <c r="O35" s="22"/>
      <c r="P35" s="22"/>
    </row>
    <row r="36" spans="1:16" ht="18" thickBot="1" x14ac:dyDescent="0.3">
      <c r="A36" s="2"/>
      <c r="B36" s="72"/>
      <c r="C36" s="19" t="s">
        <v>14</v>
      </c>
      <c r="D36" s="54">
        <v>500000</v>
      </c>
      <c r="E36" s="8"/>
      <c r="F36" s="25" t="s">
        <v>12</v>
      </c>
      <c r="G36" s="38">
        <f>30+(D33*3)+1</f>
        <v>37</v>
      </c>
      <c r="H36" s="75">
        <f>(G36+G37+G38)*D36</f>
        <v>36000000</v>
      </c>
      <c r="I36" s="8"/>
      <c r="J36" s="11"/>
      <c r="K36" s="8"/>
      <c r="L36" s="32"/>
      <c r="M36" s="11"/>
      <c r="N36" s="4"/>
      <c r="O36" s="22"/>
      <c r="P36" s="22"/>
    </row>
    <row r="37" spans="1:16" ht="33" thickBot="1" x14ac:dyDescent="0.3">
      <c r="A37" s="2"/>
      <c r="B37" s="72"/>
      <c r="C37" s="8"/>
      <c r="D37" s="8"/>
      <c r="E37" s="8"/>
      <c r="F37" s="26" t="s">
        <v>13</v>
      </c>
      <c r="G37" s="37">
        <f>D34+(D33*3)+1</f>
        <v>22</v>
      </c>
      <c r="H37" s="74"/>
      <c r="I37" s="8"/>
      <c r="J37" s="11"/>
      <c r="K37" s="8"/>
      <c r="L37" s="44">
        <f>D35*4000000</f>
        <v>0</v>
      </c>
      <c r="M37" s="11"/>
      <c r="N37" s="4"/>
      <c r="O37" s="22"/>
      <c r="P37" s="22"/>
    </row>
    <row r="38" spans="1:16" ht="19.2" customHeight="1" x14ac:dyDescent="0.25">
      <c r="A38" s="2"/>
      <c r="B38" s="72"/>
      <c r="C38" s="56" t="s">
        <v>27</v>
      </c>
      <c r="D38" s="57"/>
      <c r="E38" s="8"/>
      <c r="F38" s="26" t="s">
        <v>29</v>
      </c>
      <c r="G38" s="39">
        <f>6+(D33*3)+1</f>
        <v>13</v>
      </c>
      <c r="H38" s="74"/>
      <c r="I38" s="8"/>
      <c r="J38" s="11"/>
      <c r="K38" s="8"/>
      <c r="L38" s="8"/>
      <c r="M38" s="11"/>
      <c r="N38" s="4"/>
      <c r="O38" s="22"/>
      <c r="P38" s="22"/>
    </row>
    <row r="39" spans="1:16" ht="19.2" customHeight="1" thickBot="1" x14ac:dyDescent="0.3">
      <c r="A39" s="2"/>
      <c r="B39" s="72"/>
      <c r="C39" s="56"/>
      <c r="D39" s="57"/>
      <c r="E39" s="8"/>
      <c r="F39" s="15" t="s">
        <v>10</v>
      </c>
      <c r="G39" s="37">
        <f>IF(D33=0,4,IF(D33=1,5,7))</f>
        <v>7</v>
      </c>
      <c r="H39" s="74">
        <f>(G39+G40)*250000</f>
        <v>3500000</v>
      </c>
      <c r="I39" s="8"/>
      <c r="J39" s="20" t="s">
        <v>16</v>
      </c>
      <c r="K39" s="8"/>
      <c r="L39" s="21" t="s">
        <v>15</v>
      </c>
      <c r="M39" s="11"/>
      <c r="N39" s="4"/>
      <c r="O39" s="22"/>
      <c r="P39" s="22"/>
    </row>
    <row r="40" spans="1:16" ht="21" thickBot="1" x14ac:dyDescent="0.3">
      <c r="A40" s="2"/>
      <c r="B40" s="72"/>
      <c r="C40" s="8"/>
      <c r="D40" s="8"/>
      <c r="E40" s="8"/>
      <c r="F40" s="15" t="s">
        <v>11</v>
      </c>
      <c r="G40" s="37">
        <f>IF(D33=0,0,IF(D33=1,5,7))</f>
        <v>7</v>
      </c>
      <c r="H40" s="74"/>
      <c r="I40" s="8"/>
      <c r="J40" s="40">
        <f>H36+H39+H41</f>
        <v>41000000</v>
      </c>
      <c r="K40" s="8"/>
      <c r="L40" s="24">
        <f>J33+J40+L33+L35+L37</f>
        <v>114140000</v>
      </c>
      <c r="M40" s="11"/>
      <c r="N40" s="4"/>
      <c r="O40" s="22"/>
      <c r="P40" s="22"/>
    </row>
    <row r="41" spans="1:16" ht="17.399999999999999" thickBot="1" x14ac:dyDescent="0.3">
      <c r="A41" s="2"/>
      <c r="B41" s="72"/>
      <c r="C41" s="8"/>
      <c r="D41" s="8"/>
      <c r="E41" s="8"/>
      <c r="F41" s="18" t="s">
        <v>9</v>
      </c>
      <c r="G41" s="36"/>
      <c r="H41" s="36">
        <v>1500000</v>
      </c>
      <c r="I41" s="14"/>
      <c r="J41" s="23"/>
      <c r="K41" s="8"/>
      <c r="L41" s="8"/>
      <c r="M41" s="11"/>
      <c r="N41" s="4"/>
      <c r="O41" s="22"/>
      <c r="P41" s="22"/>
    </row>
    <row r="42" spans="1:16" ht="17.399999999999999" thickBot="1" x14ac:dyDescent="0.3">
      <c r="A42" s="2"/>
      <c r="B42" s="7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3"/>
      <c r="N42" s="4"/>
      <c r="O42" s="22"/>
      <c r="P42" s="22"/>
    </row>
    <row r="43" spans="1:16" ht="9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6" x14ac:dyDescent="0.25">
      <c r="N44" s="3"/>
    </row>
  </sheetData>
  <sheetProtection algorithmName="SHA-512" hashValue="appqGuoQRM2FFJXJ3b8ewV2qt7xB12MTIMv18JtjtulWj5SZkjLQF740524N+Pcz4/qRLW83zIfxJ+kckpnwvQ==" saltValue="6FWRxmcgeAf9TPq4KwaTPw==" spinCount="100000" sheet="1" objects="1" scenarios="1"/>
  <mergeCells count="15">
    <mergeCell ref="C38:D39"/>
    <mergeCell ref="A2:Q2"/>
    <mergeCell ref="O4:P5"/>
    <mergeCell ref="B4:M5"/>
    <mergeCell ref="B31:B42"/>
    <mergeCell ref="H39:H40"/>
    <mergeCell ref="H36:H38"/>
    <mergeCell ref="B9:B17"/>
    <mergeCell ref="H24:H25"/>
    <mergeCell ref="H26:H27"/>
    <mergeCell ref="B19:B29"/>
    <mergeCell ref="O15:P17"/>
    <mergeCell ref="Q15:Q18"/>
    <mergeCell ref="B7:P7"/>
    <mergeCell ref="C26:D2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Sun899</dc:creator>
  <cp:lastModifiedBy>Lenovo</cp:lastModifiedBy>
  <dcterms:created xsi:type="dcterms:W3CDTF">2021-02-14T06:09:30Z</dcterms:created>
  <dcterms:modified xsi:type="dcterms:W3CDTF">2023-02-20T06:57:11Z</dcterms:modified>
</cp:coreProperties>
</file>